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G46" i="1"/>
  <c r="G81" i="1"/>
  <c r="G65" i="1"/>
  <c r="G70" i="1"/>
  <c r="G73" i="1"/>
  <c r="G77" i="1"/>
  <c r="G78" i="1"/>
  <c r="G75" i="1"/>
  <c r="G80" i="1"/>
  <c r="G79" i="1"/>
  <c r="F66" i="1"/>
  <c r="F54" i="1"/>
  <c r="G54" i="1" s="1"/>
  <c r="F52" i="1"/>
  <c r="G52" i="1" s="1"/>
  <c r="F50" i="1"/>
  <c r="F44" i="1"/>
  <c r="F67" i="1"/>
  <c r="G67" i="1" s="1"/>
  <c r="F45" i="1"/>
  <c r="G45" i="1" s="1"/>
  <c r="F55" i="1"/>
  <c r="G55" i="1" s="1"/>
  <c r="G44" i="1"/>
  <c r="F57" i="1"/>
  <c r="G57" i="1" s="1"/>
  <c r="F51" i="1"/>
  <c r="F47" i="1"/>
  <c r="F68" i="1"/>
  <c r="G68" i="1" s="1"/>
  <c r="F48" i="1"/>
  <c r="F61" i="1"/>
  <c r="G61" i="1" s="1"/>
  <c r="F56" i="1"/>
  <c r="G56" i="1"/>
  <c r="F46" i="1"/>
  <c r="G53" i="1"/>
  <c r="F85" i="1"/>
  <c r="G85" i="1" s="1"/>
  <c r="F59" i="1"/>
  <c r="G59" i="1" s="1"/>
  <c r="F72" i="1"/>
  <c r="F58" i="1"/>
  <c r="G58" i="1" s="1"/>
  <c r="F64" i="1"/>
  <c r="G64" i="1" s="1"/>
  <c r="F49" i="1"/>
  <c r="G48" i="1"/>
  <c r="F60" i="1"/>
  <c r="G47" i="1"/>
  <c r="G72" i="1"/>
  <c r="F69" i="1"/>
  <c r="G62" i="1"/>
  <c r="G88" i="1"/>
  <c r="G76" i="1"/>
  <c r="G87" i="1"/>
  <c r="G66" i="1"/>
  <c r="G86" i="1"/>
  <c r="G84" i="1"/>
  <c r="G50" i="1"/>
  <c r="G71" i="1"/>
  <c r="G60" i="1"/>
  <c r="G82" i="1"/>
  <c r="G69" i="1"/>
  <c r="G83" i="1"/>
  <c r="G63" i="1"/>
  <c r="I49" i="1"/>
  <c r="H49" i="1"/>
  <c r="G49" i="1" l="1"/>
  <c r="F35" i="1" l="1"/>
  <c r="D35" i="1"/>
  <c r="F8" i="1"/>
  <c r="D8" i="1"/>
  <c r="F24" i="1"/>
  <c r="D24" i="1"/>
  <c r="F13" i="1"/>
  <c r="D13" i="1"/>
  <c r="F20" i="1"/>
  <c r="D20" i="1"/>
  <c r="F26" i="1"/>
  <c r="F29" i="1"/>
  <c r="D29" i="1"/>
  <c r="D26" i="1"/>
  <c r="G6" i="1"/>
  <c r="F6" i="1"/>
  <c r="E6" i="1"/>
  <c r="D6" i="1"/>
  <c r="G3" i="1"/>
  <c r="F3" i="1"/>
  <c r="D3" i="1"/>
  <c r="G13" i="1"/>
  <c r="F31" i="1"/>
  <c r="D31" i="1"/>
  <c r="G10" i="1"/>
  <c r="F10" i="1"/>
  <c r="D10" i="1"/>
  <c r="F40" i="1"/>
  <c r="D40" i="1"/>
  <c r="F19" i="1"/>
  <c r="D19" i="1"/>
  <c r="F15" i="1"/>
  <c r="D15" i="1"/>
  <c r="G19" i="1"/>
  <c r="E19" i="1"/>
  <c r="E40" i="1"/>
  <c r="E31" i="1"/>
  <c r="E35" i="1"/>
  <c r="G9" i="1"/>
  <c r="F9" i="1"/>
  <c r="D9" i="1"/>
  <c r="G37" i="1"/>
  <c r="F37" i="1"/>
  <c r="E37" i="1"/>
  <c r="D37" i="1"/>
  <c r="G16" i="1"/>
  <c r="F16" i="1"/>
  <c r="D16" i="1"/>
  <c r="G4" i="1"/>
  <c r="F4" i="1"/>
  <c r="D4" i="1"/>
  <c r="G2" i="1"/>
  <c r="F2" i="1"/>
  <c r="E2" i="1"/>
  <c r="D2" i="1"/>
  <c r="E3" i="1"/>
  <c r="G11" i="1"/>
  <c r="F11" i="1"/>
  <c r="D11" i="1"/>
  <c r="G30" i="1"/>
  <c r="F30" i="1"/>
  <c r="E30" i="1"/>
  <c r="D30" i="1"/>
  <c r="G29" i="1"/>
  <c r="E29" i="1"/>
  <c r="G28" i="1"/>
  <c r="F28" i="1"/>
  <c r="E28" i="1"/>
  <c r="D28" i="1"/>
  <c r="G12" i="1"/>
  <c r="F12" i="1"/>
  <c r="E12" i="1"/>
  <c r="D12" i="1"/>
  <c r="I9" i="1" l="1"/>
  <c r="G14" i="1"/>
  <c r="F14" i="1"/>
  <c r="D14" i="1"/>
  <c r="G7" i="1"/>
  <c r="F7" i="1"/>
  <c r="D7" i="1"/>
  <c r="H7" i="1" s="1"/>
  <c r="H4" i="1"/>
  <c r="E11" i="1"/>
  <c r="F36" i="1"/>
  <c r="E36" i="1"/>
  <c r="D36" i="1"/>
  <c r="G5" i="1"/>
  <c r="F5" i="1"/>
  <c r="E5" i="1"/>
  <c r="D5" i="1"/>
  <c r="G8" i="1"/>
  <c r="G20" i="1"/>
  <c r="J3" i="1"/>
  <c r="G27" i="1"/>
  <c r="F27" i="1"/>
  <c r="D27" i="1"/>
  <c r="J6" i="1"/>
  <c r="I12" i="1"/>
  <c r="H24" i="1"/>
  <c r="H25" i="1"/>
  <c r="H26" i="1"/>
  <c r="H19" i="1"/>
  <c r="H20" i="1"/>
  <c r="H36" i="1"/>
  <c r="H28" i="1"/>
  <c r="H29" i="1"/>
  <c r="H30" i="1"/>
  <c r="H37" i="1"/>
  <c r="H31" i="1"/>
  <c r="H40" i="1"/>
  <c r="H32" i="1"/>
  <c r="H38" i="1"/>
  <c r="H39" i="1"/>
  <c r="I26" i="1"/>
  <c r="I19" i="1"/>
  <c r="I20" i="1"/>
  <c r="I27" i="1"/>
  <c r="I28" i="1"/>
  <c r="I29" i="1"/>
  <c r="I30" i="1"/>
  <c r="I31" i="1"/>
  <c r="I32" i="1"/>
  <c r="J25" i="1"/>
  <c r="J26" i="1"/>
  <c r="J19" i="1"/>
  <c r="J20" i="1"/>
  <c r="J12" i="1"/>
  <c r="J28" i="1"/>
  <c r="J29" i="1"/>
  <c r="J30" i="1"/>
  <c r="J31" i="1"/>
  <c r="J32" i="1"/>
  <c r="I25" i="1"/>
  <c r="I24" i="1"/>
  <c r="J24" i="1"/>
  <c r="F22" i="1"/>
  <c r="I22" i="1" s="1"/>
  <c r="D22" i="1"/>
  <c r="F17" i="1"/>
  <c r="D17" i="1"/>
  <c r="F18" i="1"/>
  <c r="I18" i="1" s="1"/>
  <c r="D18" i="1"/>
  <c r="I3" i="1"/>
  <c r="D23" i="1"/>
  <c r="J23" i="1" s="1"/>
  <c r="E8" i="1"/>
  <c r="J8" i="1"/>
  <c r="J4" i="1"/>
  <c r="J14" i="1"/>
  <c r="J10" i="1"/>
  <c r="J21" i="1"/>
  <c r="J15" i="1"/>
  <c r="J17" i="1"/>
  <c r="J18" i="1"/>
  <c r="J22" i="1"/>
  <c r="I4" i="1"/>
  <c r="I14" i="1"/>
  <c r="I10" i="1"/>
  <c r="I21" i="1"/>
  <c r="I15" i="1"/>
  <c r="I17" i="1"/>
  <c r="I23" i="1"/>
  <c r="H14" i="1"/>
  <c r="H33" i="1"/>
  <c r="H10" i="1"/>
  <c r="H21" i="1"/>
  <c r="H15" i="1"/>
  <c r="H17" i="1"/>
  <c r="H34" i="1"/>
  <c r="H35" i="1"/>
  <c r="H18" i="1"/>
  <c r="H23" i="1"/>
  <c r="J13" i="1"/>
  <c r="J16" i="1"/>
  <c r="I13" i="1"/>
  <c r="I8" i="1"/>
  <c r="I16" i="1"/>
  <c r="H13" i="1"/>
  <c r="H16" i="1"/>
  <c r="E16" i="1"/>
  <c r="E13" i="1"/>
  <c r="H22" i="1" l="1"/>
  <c r="J7" i="1"/>
  <c r="J27" i="1"/>
  <c r="J11" i="1"/>
  <c r="H3" i="1"/>
  <c r="H27" i="1"/>
  <c r="H12" i="1"/>
  <c r="I7" i="1"/>
  <c r="H6" i="1"/>
  <c r="H5" i="1"/>
  <c r="J5" i="1"/>
  <c r="H9" i="1"/>
  <c r="J9" i="1"/>
  <c r="J2" i="1"/>
  <c r="I11" i="1"/>
  <c r="H11" i="1"/>
  <c r="H2" i="1"/>
  <c r="H8" i="1"/>
  <c r="I2" i="1"/>
  <c r="I6" i="1"/>
  <c r="I5" i="1"/>
</calcChain>
</file>

<file path=xl/sharedStrings.xml><?xml version="1.0" encoding="utf-8"?>
<sst xmlns="http://schemas.openxmlformats.org/spreadsheetml/2006/main" count="248" uniqueCount="129">
  <si>
    <t>Gregory</t>
  </si>
  <si>
    <t>Mark</t>
  </si>
  <si>
    <t>Fane</t>
  </si>
  <si>
    <t>Mike</t>
  </si>
  <si>
    <t>Warren</t>
  </si>
  <si>
    <t>Sam</t>
  </si>
  <si>
    <t>Wood</t>
  </si>
  <si>
    <t>Jack</t>
  </si>
  <si>
    <t>Jones</t>
  </si>
  <si>
    <t>Phil</t>
  </si>
  <si>
    <t>Jenkin</t>
  </si>
  <si>
    <t>Will</t>
  </si>
  <si>
    <t>Overs</t>
  </si>
  <si>
    <t>Maidens</t>
  </si>
  <si>
    <t>Runs</t>
  </si>
  <si>
    <t>Wickets</t>
  </si>
  <si>
    <t>Average</t>
  </si>
  <si>
    <t>Strike rate</t>
  </si>
  <si>
    <t>RpO</t>
  </si>
  <si>
    <t>Best figures</t>
  </si>
  <si>
    <t>Garrat</t>
  </si>
  <si>
    <t>Powel</t>
  </si>
  <si>
    <t>Tom</t>
  </si>
  <si>
    <t>Dave</t>
  </si>
  <si>
    <t>Eversly</t>
  </si>
  <si>
    <t>Scully</t>
  </si>
  <si>
    <t>Dom</t>
  </si>
  <si>
    <t>2-4</t>
  </si>
  <si>
    <t>Webb</t>
  </si>
  <si>
    <t>2-6</t>
  </si>
  <si>
    <t>Hanson</t>
  </si>
  <si>
    <t>Steve</t>
  </si>
  <si>
    <t>Richardson</t>
  </si>
  <si>
    <t>Paul</t>
  </si>
  <si>
    <t>McCauley</t>
  </si>
  <si>
    <t>1-11</t>
  </si>
  <si>
    <t>Gardener</t>
  </si>
  <si>
    <t>Barry</t>
  </si>
  <si>
    <t>1-7</t>
  </si>
  <si>
    <t>Sankey</t>
  </si>
  <si>
    <t>Julian</t>
  </si>
  <si>
    <t>2-10</t>
  </si>
  <si>
    <t>Holloway</t>
  </si>
  <si>
    <t>Giles</t>
  </si>
  <si>
    <t>Simon</t>
  </si>
  <si>
    <t>Webber</t>
  </si>
  <si>
    <t>Edward</t>
  </si>
  <si>
    <t>1-26</t>
  </si>
  <si>
    <t>3-29</t>
  </si>
  <si>
    <t>2-14</t>
  </si>
  <si>
    <t>Ben</t>
  </si>
  <si>
    <t>2-36</t>
  </si>
  <si>
    <t>Smellie</t>
  </si>
  <si>
    <t>Hamish</t>
  </si>
  <si>
    <t>Jonny</t>
  </si>
  <si>
    <t>1-58</t>
  </si>
  <si>
    <t>1-24</t>
  </si>
  <si>
    <t>Dutton</t>
  </si>
  <si>
    <t>Anidjha</t>
  </si>
  <si>
    <t>1-9</t>
  </si>
  <si>
    <t>Newing</t>
  </si>
  <si>
    <t>George</t>
  </si>
  <si>
    <t>Baker</t>
  </si>
  <si>
    <t>Nils</t>
  </si>
  <si>
    <t>Billyield</t>
  </si>
  <si>
    <t>James</t>
  </si>
  <si>
    <t>Curtis</t>
  </si>
  <si>
    <t>J</t>
  </si>
  <si>
    <t>1-13</t>
  </si>
  <si>
    <t>1-15</t>
  </si>
  <si>
    <t>2-24</t>
  </si>
  <si>
    <t>2-17</t>
  </si>
  <si>
    <t>2-13</t>
  </si>
  <si>
    <t>Miles</t>
  </si>
  <si>
    <t>3-8</t>
  </si>
  <si>
    <t>3-25</t>
  </si>
  <si>
    <t>Humphreys</t>
  </si>
  <si>
    <t>W</t>
  </si>
  <si>
    <t>1-28</t>
  </si>
  <si>
    <t>Liddle</t>
  </si>
  <si>
    <t>1-5</t>
  </si>
  <si>
    <t>Taylor</t>
  </si>
  <si>
    <t>A</t>
  </si>
  <si>
    <t>2-31</t>
  </si>
  <si>
    <t>Ed</t>
  </si>
  <si>
    <t>B</t>
  </si>
  <si>
    <t>Kent</t>
  </si>
  <si>
    <t>2-22</t>
  </si>
  <si>
    <t>Meads</t>
  </si>
  <si>
    <t>Ronnie</t>
  </si>
  <si>
    <t>2-25</t>
  </si>
  <si>
    <t>G</t>
  </si>
  <si>
    <t>Grayson</t>
  </si>
  <si>
    <t>Pete</t>
  </si>
  <si>
    <t>4-8</t>
  </si>
  <si>
    <t>1-2</t>
  </si>
  <si>
    <t>2-7</t>
  </si>
  <si>
    <t>4-16</t>
  </si>
  <si>
    <t>Henry</t>
  </si>
  <si>
    <t>Matches</t>
  </si>
  <si>
    <t>Innings</t>
  </si>
  <si>
    <t>Not out</t>
  </si>
  <si>
    <t>High score</t>
  </si>
  <si>
    <t>-</t>
  </si>
  <si>
    <t>85*</t>
  </si>
  <si>
    <t>Marc</t>
  </si>
  <si>
    <t>Osmond</t>
  </si>
  <si>
    <t>Garratt</t>
  </si>
  <si>
    <t>Powell</t>
  </si>
  <si>
    <t>Eversley</t>
  </si>
  <si>
    <t>Hansen</t>
  </si>
  <si>
    <t>Macauly</t>
  </si>
  <si>
    <t>14*</t>
  </si>
  <si>
    <t>Denis</t>
  </si>
  <si>
    <t>8*</t>
  </si>
  <si>
    <t>M</t>
  </si>
  <si>
    <t>21*</t>
  </si>
  <si>
    <t>Hugh</t>
  </si>
  <si>
    <t>Anidjah</t>
  </si>
  <si>
    <t>17*</t>
  </si>
  <si>
    <t>Stone</t>
  </si>
  <si>
    <t>Alistair</t>
  </si>
  <si>
    <t>2*</t>
  </si>
  <si>
    <t>95*</t>
  </si>
  <si>
    <t>O</t>
  </si>
  <si>
    <t>9*</t>
  </si>
  <si>
    <t>Dawkins</t>
  </si>
  <si>
    <t>I</t>
  </si>
  <si>
    <t>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</si>
</sst>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tabSelected="1" topLeftCell="A40" workbookViewId="0">
      <selection activeCell="G54" sqref="G54"/>
    </sheetView>
  </sheetViews>
  <sheetFormatPr defaultRowHeight="15" x14ac:dyDescent="0.25"/>
  <cols>
    <col min="2" max="2" width="11.140625" bestFit="1" customWidth="1"/>
    <col min="4" max="4" width="8.42578125" bestFit="1" customWidth="1"/>
    <col min="5" max="5" width="8.5703125" bestFit="1" customWidth="1"/>
    <col min="6" max="6" width="7.7109375" customWidth="1"/>
    <col min="7" max="7" width="8.28515625" bestFit="1" customWidth="1"/>
    <col min="8" max="8" width="7.7109375" style="2" bestFit="1" customWidth="1"/>
    <col min="9" max="9" width="8.28515625" style="2" bestFit="1" customWidth="1"/>
    <col min="10" max="10" width="10.140625" bestFit="1" customWidth="1"/>
    <col min="11" max="11" width="11.42578125" style="1" bestFit="1" customWidth="1"/>
  </cols>
  <sheetData>
    <row r="1" spans="2:11" x14ac:dyDescent="0.25">
      <c r="D1" t="s">
        <v>12</v>
      </c>
      <c r="E1" t="s">
        <v>13</v>
      </c>
      <c r="F1" t="s">
        <v>14</v>
      </c>
      <c r="G1" t="s">
        <v>15</v>
      </c>
      <c r="H1" s="2" t="s">
        <v>18</v>
      </c>
      <c r="I1" s="2" t="s">
        <v>16</v>
      </c>
      <c r="J1" t="s">
        <v>17</v>
      </c>
      <c r="K1" s="1" t="s">
        <v>19</v>
      </c>
    </row>
    <row r="2" spans="2:11" x14ac:dyDescent="0.25">
      <c r="B2" t="s">
        <v>0</v>
      </c>
      <c r="C2" t="s">
        <v>1</v>
      </c>
      <c r="D2">
        <f>7+4+8+2+6+6+4+3+7+3+4+4+8+10+4</f>
        <v>80</v>
      </c>
      <c r="E2">
        <f>1+2+1+2+1+1</f>
        <v>8</v>
      </c>
      <c r="F2">
        <f>39+11+19+5+29+24+33+15+35+36+3+14+27+38+10</f>
        <v>338</v>
      </c>
      <c r="G2">
        <f>5+3+2+1+2+1+2+1+1+2+1</f>
        <v>21</v>
      </c>
      <c r="H2" s="2">
        <f>F2/D2</f>
        <v>4.2249999999999996</v>
      </c>
      <c r="I2" s="2">
        <f>F2/G2</f>
        <v>16.095238095238095</v>
      </c>
      <c r="J2" s="2">
        <f>(D2*6)/G2</f>
        <v>22.857142857142858</v>
      </c>
      <c r="K2" s="1" t="s">
        <v>48</v>
      </c>
    </row>
    <row r="3" spans="2:11" x14ac:dyDescent="0.25">
      <c r="B3" t="s">
        <v>45</v>
      </c>
      <c r="C3" t="s">
        <v>46</v>
      </c>
      <c r="D3">
        <f>6+5+8+3+4+4+5+5.5+7+2+5</f>
        <v>54.5</v>
      </c>
      <c r="E3">
        <f>1+1+1+1+2+1</f>
        <v>7</v>
      </c>
      <c r="F3">
        <f>26+36+38+7+28+28+12+17+25+11+16</f>
        <v>244</v>
      </c>
      <c r="G3">
        <f>1+2+2+3+1+4</f>
        <v>13</v>
      </c>
      <c r="H3" s="2">
        <f>F3/D3</f>
        <v>4.477064220183486</v>
      </c>
      <c r="I3" s="2">
        <f>F3/G3</f>
        <v>18.76923076923077</v>
      </c>
      <c r="J3" s="2">
        <f>(D3*6)/G3</f>
        <v>25.153846153846153</v>
      </c>
      <c r="K3" s="1" t="s">
        <v>97</v>
      </c>
    </row>
    <row r="4" spans="2:11" x14ac:dyDescent="0.25">
      <c r="B4" t="s">
        <v>20</v>
      </c>
      <c r="C4" t="s">
        <v>23</v>
      </c>
      <c r="D4">
        <f>3+7+5+4+8+7</f>
        <v>34</v>
      </c>
      <c r="E4">
        <v>0</v>
      </c>
      <c r="F4">
        <f>18+64+34+17+40+31</f>
        <v>204</v>
      </c>
      <c r="G4">
        <f>1+1+2+1+2+2</f>
        <v>9</v>
      </c>
      <c r="H4" s="2">
        <f>F4/D4</f>
        <v>6</v>
      </c>
      <c r="I4" s="2">
        <f>F4/G4</f>
        <v>22.666666666666668</v>
      </c>
      <c r="J4" s="2">
        <f>(D4*6)/G4</f>
        <v>22.666666666666668</v>
      </c>
      <c r="K4" s="1" t="s">
        <v>83</v>
      </c>
    </row>
    <row r="5" spans="2:11" x14ac:dyDescent="0.25">
      <c r="B5" t="s">
        <v>2</v>
      </c>
      <c r="C5" t="s">
        <v>3</v>
      </c>
      <c r="D5">
        <f>7+9+5+4+6</f>
        <v>31</v>
      </c>
      <c r="E5">
        <f>1+1+1</f>
        <v>3</v>
      </c>
      <c r="F5">
        <f>19+37+29+23+13</f>
        <v>121</v>
      </c>
      <c r="G5">
        <f>4+2+2</f>
        <v>8</v>
      </c>
      <c r="H5" s="2">
        <f>F5/D5</f>
        <v>3.903225806451613</v>
      </c>
      <c r="I5" s="2">
        <f>F5/G5</f>
        <v>15.125</v>
      </c>
      <c r="J5" s="2">
        <f>(D5*6)/G5</f>
        <v>23.25</v>
      </c>
      <c r="K5" s="1" t="s">
        <v>72</v>
      </c>
    </row>
    <row r="6" spans="2:11" x14ac:dyDescent="0.25">
      <c r="B6" t="s">
        <v>8</v>
      </c>
      <c r="C6" t="s">
        <v>9</v>
      </c>
      <c r="D6">
        <f>3+3+2+6+3+7+3+5</f>
        <v>32</v>
      </c>
      <c r="E6">
        <f>0+1</f>
        <v>1</v>
      </c>
      <c r="F6">
        <f>12+12+6+35+31+25+30+16</f>
        <v>167</v>
      </c>
      <c r="G6">
        <f>1+1+1+3+2</f>
        <v>8</v>
      </c>
      <c r="H6" s="2">
        <f>F6/D6</f>
        <v>5.21875</v>
      </c>
      <c r="I6" s="2">
        <f>F6/G6</f>
        <v>20.875</v>
      </c>
      <c r="J6" s="2">
        <f>(D6*6)/G6</f>
        <v>24</v>
      </c>
      <c r="K6" s="1" t="s">
        <v>75</v>
      </c>
    </row>
    <row r="7" spans="2:11" x14ac:dyDescent="0.25">
      <c r="B7" t="s">
        <v>21</v>
      </c>
      <c r="C7" t="s">
        <v>22</v>
      </c>
      <c r="D7">
        <f>5+7+4</f>
        <v>16</v>
      </c>
      <c r="E7">
        <v>1</v>
      </c>
      <c r="F7">
        <f>15+33+8</f>
        <v>56</v>
      </c>
      <c r="G7">
        <f>3+2+3</f>
        <v>8</v>
      </c>
      <c r="H7" s="2">
        <f>F7/D7</f>
        <v>3.5</v>
      </c>
      <c r="I7" s="2">
        <f>F7/G7</f>
        <v>7</v>
      </c>
      <c r="J7" s="2">
        <f>(D7*6)/G7</f>
        <v>12</v>
      </c>
      <c r="K7" s="1" t="s">
        <v>74</v>
      </c>
    </row>
    <row r="8" spans="2:11" x14ac:dyDescent="0.25">
      <c r="B8" t="s">
        <v>6</v>
      </c>
      <c r="C8" t="s">
        <v>7</v>
      </c>
      <c r="D8">
        <f>4+3+3+2+5.3+6+4+4+2+3</f>
        <v>36.299999999999997</v>
      </c>
      <c r="E8">
        <f>0+2+1</f>
        <v>3</v>
      </c>
      <c r="F8">
        <f>20+19+2+27+27+55+13+17+11+14</f>
        <v>205</v>
      </c>
      <c r="G8">
        <f>2+2+2</f>
        <v>6</v>
      </c>
      <c r="H8" s="2">
        <f>F8/D8</f>
        <v>5.6473829201101937</v>
      </c>
      <c r="I8" s="2">
        <f>F8/G8</f>
        <v>34.166666666666664</v>
      </c>
      <c r="J8" s="2">
        <f>(D8*6)/G8</f>
        <v>36.299999999999997</v>
      </c>
      <c r="K8" s="1" t="s">
        <v>71</v>
      </c>
    </row>
    <row r="9" spans="2:11" x14ac:dyDescent="0.25">
      <c r="B9" t="s">
        <v>24</v>
      </c>
      <c r="C9" t="s">
        <v>23</v>
      </c>
      <c r="D9">
        <f>4+1+3+4+4+2.1+5</f>
        <v>23.1</v>
      </c>
      <c r="E9">
        <v>1</v>
      </c>
      <c r="F9">
        <f>12+1+27+42+24+6+35</f>
        <v>147</v>
      </c>
      <c r="G9">
        <f>1+1+2+1+1</f>
        <v>6</v>
      </c>
      <c r="H9" s="2">
        <f>F9/D9</f>
        <v>6.3636363636363633</v>
      </c>
      <c r="I9" s="2">
        <f>F9/G9</f>
        <v>24.5</v>
      </c>
      <c r="J9" s="2">
        <f>(D9*6)/G9</f>
        <v>23.100000000000005</v>
      </c>
      <c r="K9" s="1" t="s">
        <v>70</v>
      </c>
    </row>
    <row r="10" spans="2:11" x14ac:dyDescent="0.25">
      <c r="B10" t="s">
        <v>32</v>
      </c>
      <c r="C10" t="s">
        <v>33</v>
      </c>
      <c r="D10">
        <f>2+5+2+2</f>
        <v>11</v>
      </c>
      <c r="E10">
        <v>0</v>
      </c>
      <c r="F10">
        <f>20+37+18+8</f>
        <v>83</v>
      </c>
      <c r="G10">
        <f>1+1+4</f>
        <v>6</v>
      </c>
      <c r="H10" s="2">
        <f>F10/D10</f>
        <v>7.5454545454545459</v>
      </c>
      <c r="I10" s="2">
        <f>F10/G10</f>
        <v>13.833333333333334</v>
      </c>
      <c r="J10" s="2">
        <f>(D10*6)/G10</f>
        <v>11</v>
      </c>
      <c r="K10" s="1" t="s">
        <v>94</v>
      </c>
    </row>
    <row r="11" spans="2:11" x14ac:dyDescent="0.25">
      <c r="B11" t="s">
        <v>25</v>
      </c>
      <c r="C11" t="s">
        <v>26</v>
      </c>
      <c r="D11">
        <f>6+2+6+4+2+2+4+4+5</f>
        <v>35</v>
      </c>
      <c r="E11">
        <f>5+1+1</f>
        <v>7</v>
      </c>
      <c r="F11">
        <f>4+7+28+35+14+23+30+11+21</f>
        <v>173</v>
      </c>
      <c r="G11">
        <f>2+1+1+1</f>
        <v>5</v>
      </c>
      <c r="H11" s="2">
        <f>F11/D11</f>
        <v>4.9428571428571431</v>
      </c>
      <c r="I11" s="2">
        <f>F11/G11</f>
        <v>34.6</v>
      </c>
      <c r="J11" s="2">
        <f>(D11*6)/G11</f>
        <v>42</v>
      </c>
      <c r="K11" s="1" t="s">
        <v>27</v>
      </c>
    </row>
    <row r="12" spans="2:11" x14ac:dyDescent="0.25">
      <c r="B12" t="s">
        <v>64</v>
      </c>
      <c r="C12" t="s">
        <v>65</v>
      </c>
      <c r="D12">
        <f>4+2+5+10</f>
        <v>21</v>
      </c>
      <c r="E12">
        <f>0+1</f>
        <v>1</v>
      </c>
      <c r="F12">
        <f>40+24+14+42</f>
        <v>120</v>
      </c>
      <c r="G12">
        <f>2+2+1</f>
        <v>5</v>
      </c>
      <c r="H12" s="2">
        <f>F12/D12</f>
        <v>5.7142857142857144</v>
      </c>
      <c r="I12" s="2">
        <f>F12/G12</f>
        <v>24</v>
      </c>
      <c r="J12" s="2">
        <f>(D12*6)/G12</f>
        <v>25.2</v>
      </c>
      <c r="K12" s="1" t="s">
        <v>49</v>
      </c>
    </row>
    <row r="13" spans="2:11" x14ac:dyDescent="0.25">
      <c r="B13" t="s">
        <v>4</v>
      </c>
      <c r="C13" t="s">
        <v>5</v>
      </c>
      <c r="D13">
        <f>5+4+4+2+3</f>
        <v>18</v>
      </c>
      <c r="E13">
        <f>0</f>
        <v>0</v>
      </c>
      <c r="F13">
        <f>14+24+15+7+9</f>
        <v>69</v>
      </c>
      <c r="G13">
        <f>2+2</f>
        <v>4</v>
      </c>
      <c r="H13" s="2">
        <f>F13/D13</f>
        <v>3.8333333333333335</v>
      </c>
      <c r="I13" s="2">
        <f>F13/G13</f>
        <v>17.25</v>
      </c>
      <c r="J13" s="2">
        <f>(D13*6)/G13</f>
        <v>27</v>
      </c>
      <c r="K13" s="1" t="s">
        <v>96</v>
      </c>
    </row>
    <row r="14" spans="2:11" x14ac:dyDescent="0.25">
      <c r="B14" t="s">
        <v>28</v>
      </c>
      <c r="C14" t="s">
        <v>11</v>
      </c>
      <c r="D14">
        <f>2+0.5+4+2</f>
        <v>8.5</v>
      </c>
      <c r="E14">
        <v>1</v>
      </c>
      <c r="F14">
        <f>6+4+23+4</f>
        <v>37</v>
      </c>
      <c r="G14">
        <f>2+1+1</f>
        <v>4</v>
      </c>
      <c r="H14" s="2">
        <f>F14/D14</f>
        <v>4.3529411764705879</v>
      </c>
      <c r="I14" s="2">
        <f>F14/G14</f>
        <v>9.25</v>
      </c>
      <c r="J14" s="2">
        <f>(D14*6)/G14</f>
        <v>12.75</v>
      </c>
      <c r="K14" s="1" t="s">
        <v>29</v>
      </c>
    </row>
    <row r="15" spans="2:11" x14ac:dyDescent="0.25">
      <c r="B15" t="s">
        <v>36</v>
      </c>
      <c r="C15" t="s">
        <v>37</v>
      </c>
      <c r="D15">
        <f>1+2</f>
        <v>3</v>
      </c>
      <c r="E15">
        <v>0</v>
      </c>
      <c r="F15">
        <f>7+25</f>
        <v>32</v>
      </c>
      <c r="G15">
        <v>3</v>
      </c>
      <c r="H15" s="2">
        <f>F15/D15</f>
        <v>10.666666666666666</v>
      </c>
      <c r="I15" s="2">
        <f>F15/G15</f>
        <v>10.666666666666666</v>
      </c>
      <c r="J15" s="2">
        <f>(D15*6)/G15</f>
        <v>6</v>
      </c>
      <c r="K15" s="1" t="s">
        <v>90</v>
      </c>
    </row>
    <row r="16" spans="2:11" x14ac:dyDescent="0.25">
      <c r="B16" t="s">
        <v>10</v>
      </c>
      <c r="C16" t="s">
        <v>11</v>
      </c>
      <c r="D16">
        <f>3+6+15</f>
        <v>24</v>
      </c>
      <c r="E16">
        <f>0</f>
        <v>0</v>
      </c>
      <c r="F16">
        <f>26+19+2+34</f>
        <v>81</v>
      </c>
      <c r="G16">
        <f>1+1</f>
        <v>2</v>
      </c>
      <c r="H16" s="2">
        <f>F16/D16</f>
        <v>3.375</v>
      </c>
      <c r="I16" s="2">
        <f>F16/G16</f>
        <v>40.5</v>
      </c>
      <c r="J16" s="2">
        <f>(D16*6)/G16</f>
        <v>72</v>
      </c>
      <c r="K16" s="1" t="s">
        <v>47</v>
      </c>
    </row>
    <row r="17" spans="2:11" x14ac:dyDescent="0.25">
      <c r="B17" t="s">
        <v>39</v>
      </c>
      <c r="C17" t="s">
        <v>40</v>
      </c>
      <c r="D17">
        <f>2+2</f>
        <v>4</v>
      </c>
      <c r="E17">
        <v>0</v>
      </c>
      <c r="F17">
        <f>10+40</f>
        <v>50</v>
      </c>
      <c r="G17">
        <v>2</v>
      </c>
      <c r="H17" s="2">
        <f>F17/D17</f>
        <v>12.5</v>
      </c>
      <c r="I17" s="2">
        <f>F17/G17</f>
        <v>25</v>
      </c>
      <c r="J17" s="2">
        <f>(D17*6)/G17</f>
        <v>12</v>
      </c>
      <c r="K17" s="1" t="s">
        <v>41</v>
      </c>
    </row>
    <row r="18" spans="2:11" x14ac:dyDescent="0.25">
      <c r="B18" t="s">
        <v>4</v>
      </c>
      <c r="C18" t="s">
        <v>50</v>
      </c>
      <c r="D18">
        <f>6+2</f>
        <v>8</v>
      </c>
      <c r="E18">
        <v>0</v>
      </c>
      <c r="F18">
        <f>36+28</f>
        <v>64</v>
      </c>
      <c r="G18">
        <v>2</v>
      </c>
      <c r="H18" s="2">
        <f>F18/D18</f>
        <v>8</v>
      </c>
      <c r="I18" s="2">
        <f>F18/G18</f>
        <v>32</v>
      </c>
      <c r="J18" s="2">
        <f>(D18*6)/G18</f>
        <v>24</v>
      </c>
      <c r="K18" s="1" t="s">
        <v>51</v>
      </c>
    </row>
    <row r="19" spans="2:11" x14ac:dyDescent="0.25">
      <c r="B19" t="s">
        <v>60</v>
      </c>
      <c r="C19" t="s">
        <v>11</v>
      </c>
      <c r="D19">
        <f>1+3+3</f>
        <v>7</v>
      </c>
      <c r="E19">
        <f>0</f>
        <v>0</v>
      </c>
      <c r="F19">
        <f>11+22+25</f>
        <v>58</v>
      </c>
      <c r="G19">
        <f>2</f>
        <v>2</v>
      </c>
      <c r="H19" s="2">
        <f>F19/D19</f>
        <v>8.2857142857142865</v>
      </c>
      <c r="I19" s="2">
        <f>F19/G19</f>
        <v>29</v>
      </c>
      <c r="J19" s="2">
        <f>(D19*6)/G19</f>
        <v>21</v>
      </c>
      <c r="K19" s="1" t="s">
        <v>87</v>
      </c>
    </row>
    <row r="20" spans="2:11" x14ac:dyDescent="0.25">
      <c r="B20" t="s">
        <v>62</v>
      </c>
      <c r="C20" t="s">
        <v>63</v>
      </c>
      <c r="D20">
        <f>10+1+4+3</f>
        <v>18</v>
      </c>
      <c r="E20">
        <v>1</v>
      </c>
      <c r="F20">
        <f>50+15+19+6</f>
        <v>90</v>
      </c>
      <c r="G20">
        <f>1+1</f>
        <v>2</v>
      </c>
      <c r="H20" s="2">
        <f>F20/D20</f>
        <v>5</v>
      </c>
      <c r="I20" s="2">
        <f>F20/G20</f>
        <v>45</v>
      </c>
      <c r="J20" s="2">
        <f>(D20*6)/G20</f>
        <v>54</v>
      </c>
      <c r="K20" s="1" t="s">
        <v>69</v>
      </c>
    </row>
    <row r="21" spans="2:11" x14ac:dyDescent="0.25">
      <c r="B21" t="s">
        <v>34</v>
      </c>
      <c r="C21" t="s">
        <v>22</v>
      </c>
      <c r="D21">
        <v>1.3</v>
      </c>
      <c r="E21">
        <v>0</v>
      </c>
      <c r="F21">
        <v>11</v>
      </c>
      <c r="G21">
        <v>1</v>
      </c>
      <c r="H21" s="2">
        <f>F21/D21</f>
        <v>8.4615384615384617</v>
      </c>
      <c r="I21" s="2">
        <f>F21/G21</f>
        <v>11</v>
      </c>
      <c r="J21" s="2">
        <f>(D21*6)/G21</f>
        <v>7.8000000000000007</v>
      </c>
      <c r="K21" s="1" t="s">
        <v>35</v>
      </c>
    </row>
    <row r="22" spans="2:11" x14ac:dyDescent="0.25">
      <c r="B22" t="s">
        <v>52</v>
      </c>
      <c r="C22" t="s">
        <v>53</v>
      </c>
      <c r="D22">
        <f>6+4</f>
        <v>10</v>
      </c>
      <c r="E22">
        <v>0</v>
      </c>
      <c r="F22">
        <f>34+24</f>
        <v>58</v>
      </c>
      <c r="G22">
        <v>1</v>
      </c>
      <c r="H22" s="2">
        <f>F22/D22</f>
        <v>5.8</v>
      </c>
      <c r="I22" s="2">
        <f>F22/G22</f>
        <v>58</v>
      </c>
      <c r="J22" s="2">
        <f>(D22*6)/G22</f>
        <v>60</v>
      </c>
      <c r="K22" s="1" t="s">
        <v>56</v>
      </c>
    </row>
    <row r="23" spans="2:11" x14ac:dyDescent="0.25">
      <c r="B23" t="s">
        <v>20</v>
      </c>
      <c r="C23" t="s">
        <v>54</v>
      </c>
      <c r="D23">
        <f>7</f>
        <v>7</v>
      </c>
      <c r="E23">
        <v>0</v>
      </c>
      <c r="F23">
        <v>58</v>
      </c>
      <c r="G23">
        <v>1</v>
      </c>
      <c r="H23" s="2">
        <f>F23/D23</f>
        <v>8.2857142857142865</v>
      </c>
      <c r="I23" s="2">
        <f>F23/G23</f>
        <v>58</v>
      </c>
      <c r="J23" s="2">
        <f>(D23*6)/G23</f>
        <v>42</v>
      </c>
      <c r="K23" s="1" t="s">
        <v>55</v>
      </c>
    </row>
    <row r="24" spans="2:11" x14ac:dyDescent="0.25">
      <c r="B24" t="s">
        <v>57</v>
      </c>
      <c r="C24" t="s">
        <v>33</v>
      </c>
      <c r="D24">
        <f>2+3</f>
        <v>5</v>
      </c>
      <c r="E24">
        <v>0</v>
      </c>
      <c r="F24">
        <f>11+10</f>
        <v>21</v>
      </c>
      <c r="G24">
        <v>1</v>
      </c>
      <c r="H24" s="2">
        <f>F24/D24</f>
        <v>4.2</v>
      </c>
      <c r="I24" s="2">
        <f>F24/G24</f>
        <v>21</v>
      </c>
      <c r="J24" s="2">
        <f>(D24*6)/G24</f>
        <v>30</v>
      </c>
      <c r="K24" s="1" t="s">
        <v>35</v>
      </c>
    </row>
    <row r="25" spans="2:11" x14ac:dyDescent="0.25">
      <c r="B25" t="s">
        <v>58</v>
      </c>
      <c r="C25" t="s">
        <v>31</v>
      </c>
      <c r="D25">
        <v>2</v>
      </c>
      <c r="E25">
        <v>0</v>
      </c>
      <c r="F25">
        <v>9</v>
      </c>
      <c r="G25">
        <v>1</v>
      </c>
      <c r="H25" s="2">
        <f>F25/D25</f>
        <v>4.5</v>
      </c>
      <c r="I25" s="2">
        <f>F25/G25</f>
        <v>9</v>
      </c>
      <c r="J25" s="2">
        <f>(D25*6)/G25</f>
        <v>12</v>
      </c>
      <c r="K25" s="1" t="s">
        <v>59</v>
      </c>
    </row>
    <row r="26" spans="2:11" x14ac:dyDescent="0.25">
      <c r="B26" t="s">
        <v>57</v>
      </c>
      <c r="C26" t="s">
        <v>61</v>
      </c>
      <c r="D26">
        <f>2+3</f>
        <v>5</v>
      </c>
      <c r="E26">
        <v>0</v>
      </c>
      <c r="F26">
        <f>16+11</f>
        <v>27</v>
      </c>
      <c r="G26">
        <v>1</v>
      </c>
      <c r="H26" s="2">
        <f>F26/D26</f>
        <v>5.4</v>
      </c>
      <c r="I26" s="2">
        <f>F26/G26</f>
        <v>27</v>
      </c>
      <c r="J26" s="2">
        <f>(D26*6)/G26</f>
        <v>30</v>
      </c>
      <c r="K26" s="1" t="s">
        <v>35</v>
      </c>
    </row>
    <row r="27" spans="2:11" x14ac:dyDescent="0.25">
      <c r="B27" t="s">
        <v>66</v>
      </c>
      <c r="C27" t="s">
        <v>67</v>
      </c>
      <c r="D27">
        <f>2</f>
        <v>2</v>
      </c>
      <c r="E27">
        <v>0</v>
      </c>
      <c r="F27">
        <f>13</f>
        <v>13</v>
      </c>
      <c r="G27">
        <f>1</f>
        <v>1</v>
      </c>
      <c r="H27" s="2">
        <f>F27/D27</f>
        <v>6.5</v>
      </c>
      <c r="I27" s="2">
        <f>F27/G27</f>
        <v>13</v>
      </c>
      <c r="J27" s="2">
        <f>(D27*6)/G27</f>
        <v>12</v>
      </c>
      <c r="K27" s="1" t="s">
        <v>68</v>
      </c>
    </row>
    <row r="28" spans="2:11" x14ac:dyDescent="0.25">
      <c r="B28" t="s">
        <v>76</v>
      </c>
      <c r="C28" t="s">
        <v>77</v>
      </c>
      <c r="D28">
        <f>5</f>
        <v>5</v>
      </c>
      <c r="E28">
        <f>0</f>
        <v>0</v>
      </c>
      <c r="F28">
        <f>28</f>
        <v>28</v>
      </c>
      <c r="G28">
        <f>1</f>
        <v>1</v>
      </c>
      <c r="H28" s="2">
        <f>F28/D28</f>
        <v>5.6</v>
      </c>
      <c r="I28" s="2">
        <f>F28/G28</f>
        <v>28</v>
      </c>
      <c r="J28" s="2">
        <f>(D28*6)/G28</f>
        <v>30</v>
      </c>
      <c r="K28" s="1" t="s">
        <v>78</v>
      </c>
    </row>
    <row r="29" spans="2:11" x14ac:dyDescent="0.25">
      <c r="B29" t="s">
        <v>79</v>
      </c>
      <c r="C29" t="s">
        <v>5</v>
      </c>
      <c r="D29">
        <f>3+4+3</f>
        <v>10</v>
      </c>
      <c r="E29">
        <f>0</f>
        <v>0</v>
      </c>
      <c r="F29">
        <f>5+31+9</f>
        <v>45</v>
      </c>
      <c r="G29">
        <f>1</f>
        <v>1</v>
      </c>
      <c r="H29" s="2">
        <f>F29/D29</f>
        <v>4.5</v>
      </c>
      <c r="I29" s="2">
        <f>F29/G29</f>
        <v>45</v>
      </c>
      <c r="J29" s="2">
        <f>(D29*6)/G29</f>
        <v>60</v>
      </c>
      <c r="K29" s="1" t="s">
        <v>80</v>
      </c>
    </row>
    <row r="30" spans="2:11" x14ac:dyDescent="0.25">
      <c r="B30" t="s">
        <v>81</v>
      </c>
      <c r="C30" t="s">
        <v>82</v>
      </c>
      <c r="D30">
        <f>2</f>
        <v>2</v>
      </c>
      <c r="E30">
        <f>0</f>
        <v>0</v>
      </c>
      <c r="F30">
        <f>7</f>
        <v>7</v>
      </c>
      <c r="G30">
        <f>1</f>
        <v>1</v>
      </c>
      <c r="H30" s="2">
        <f>F30/D30</f>
        <v>3.5</v>
      </c>
      <c r="I30" s="2">
        <f>F30/G30</f>
        <v>7</v>
      </c>
      <c r="J30" s="2">
        <f>(D30*6)/G30</f>
        <v>12</v>
      </c>
      <c r="K30" s="1" t="s">
        <v>38</v>
      </c>
    </row>
    <row r="31" spans="2:11" x14ac:dyDescent="0.25">
      <c r="B31" t="s">
        <v>60</v>
      </c>
      <c r="C31" t="s">
        <v>85</v>
      </c>
      <c r="D31">
        <f>3+1</f>
        <v>4</v>
      </c>
      <c r="E31">
        <f>0</f>
        <v>0</v>
      </c>
      <c r="F31">
        <f>16+2</f>
        <v>18</v>
      </c>
      <c r="G31">
        <v>1</v>
      </c>
      <c r="H31" s="2">
        <f>F31/D31</f>
        <v>4.5</v>
      </c>
      <c r="I31" s="2">
        <f>F31/G31</f>
        <v>18</v>
      </c>
      <c r="J31" s="2">
        <f>(D31*6)/G31</f>
        <v>24</v>
      </c>
      <c r="K31" s="1" t="s">
        <v>95</v>
      </c>
    </row>
    <row r="32" spans="2:11" x14ac:dyDescent="0.25">
      <c r="B32" t="s">
        <v>88</v>
      </c>
      <c r="C32" t="s">
        <v>89</v>
      </c>
      <c r="D32">
        <v>2</v>
      </c>
      <c r="E32">
        <v>0</v>
      </c>
      <c r="F32">
        <v>24</v>
      </c>
      <c r="G32">
        <v>1</v>
      </c>
      <c r="H32" s="2">
        <f>F32/D32</f>
        <v>12</v>
      </c>
      <c r="I32" s="2">
        <f>F32/G32</f>
        <v>24</v>
      </c>
      <c r="J32" s="2">
        <f>(D32*6)/G32</f>
        <v>12</v>
      </c>
      <c r="K32" s="1" t="s">
        <v>56</v>
      </c>
    </row>
    <row r="33" spans="2:11" x14ac:dyDescent="0.25">
      <c r="B33" t="s">
        <v>30</v>
      </c>
      <c r="C33" t="s">
        <v>31</v>
      </c>
      <c r="D33">
        <v>1</v>
      </c>
      <c r="E33">
        <v>0</v>
      </c>
      <c r="F33">
        <v>18</v>
      </c>
      <c r="G33">
        <v>0</v>
      </c>
      <c r="H33" s="2">
        <f>F33/D33</f>
        <v>18</v>
      </c>
      <c r="I33" s="3" t="s">
        <v>103</v>
      </c>
      <c r="J33" s="3" t="s">
        <v>103</v>
      </c>
      <c r="K33" s="3" t="s">
        <v>103</v>
      </c>
    </row>
    <row r="34" spans="2:11" x14ac:dyDescent="0.25">
      <c r="B34" t="s">
        <v>42</v>
      </c>
      <c r="C34" t="s">
        <v>1</v>
      </c>
      <c r="D34">
        <v>1</v>
      </c>
      <c r="E34">
        <v>0</v>
      </c>
      <c r="F34">
        <v>9</v>
      </c>
      <c r="G34">
        <v>0</v>
      </c>
      <c r="H34" s="2">
        <f>F34/D34</f>
        <v>9</v>
      </c>
      <c r="I34" s="3" t="s">
        <v>103</v>
      </c>
      <c r="J34" s="3" t="s">
        <v>103</v>
      </c>
      <c r="K34" s="3" t="s">
        <v>103</v>
      </c>
    </row>
    <row r="35" spans="2:11" x14ac:dyDescent="0.25">
      <c r="B35" t="s">
        <v>43</v>
      </c>
      <c r="C35" t="s">
        <v>44</v>
      </c>
      <c r="D35">
        <f>1+2+4+3</f>
        <v>10</v>
      </c>
      <c r="E35">
        <f>0+1</f>
        <v>1</v>
      </c>
      <c r="F35">
        <f>3+29+30+20</f>
        <v>82</v>
      </c>
      <c r="G35">
        <v>0</v>
      </c>
      <c r="H35" s="2">
        <f>F35/D35</f>
        <v>8.1999999999999993</v>
      </c>
      <c r="I35" s="3" t="s">
        <v>103</v>
      </c>
      <c r="J35" s="3" t="s">
        <v>103</v>
      </c>
      <c r="K35" s="3" t="s">
        <v>103</v>
      </c>
    </row>
    <row r="36" spans="2:11" x14ac:dyDescent="0.25">
      <c r="B36" t="s">
        <v>73</v>
      </c>
      <c r="D36">
        <f>4</f>
        <v>4</v>
      </c>
      <c r="E36">
        <f>1</f>
        <v>1</v>
      </c>
      <c r="F36">
        <f>7</f>
        <v>7</v>
      </c>
      <c r="G36">
        <v>0</v>
      </c>
      <c r="H36" s="2">
        <f>F36/D36</f>
        <v>1.75</v>
      </c>
      <c r="I36" s="3" t="s">
        <v>103</v>
      </c>
      <c r="J36" s="3" t="s">
        <v>103</v>
      </c>
      <c r="K36" s="3" t="s">
        <v>103</v>
      </c>
    </row>
    <row r="37" spans="2:11" x14ac:dyDescent="0.25">
      <c r="B37" t="s">
        <v>10</v>
      </c>
      <c r="C37" t="s">
        <v>84</v>
      </c>
      <c r="D37">
        <f>3</f>
        <v>3</v>
      </c>
      <c r="E37">
        <f>0</f>
        <v>0</v>
      </c>
      <c r="F37">
        <f>20</f>
        <v>20</v>
      </c>
      <c r="G37">
        <f>0</f>
        <v>0</v>
      </c>
      <c r="H37" s="2">
        <f>F37/D37</f>
        <v>6.666666666666667</v>
      </c>
      <c r="I37" s="3" t="s">
        <v>103</v>
      </c>
      <c r="J37" s="3" t="s">
        <v>103</v>
      </c>
      <c r="K37" s="3" t="s">
        <v>103</v>
      </c>
    </row>
    <row r="38" spans="2:11" x14ac:dyDescent="0.25">
      <c r="B38" t="s">
        <v>92</v>
      </c>
      <c r="C38" t="s">
        <v>93</v>
      </c>
      <c r="D38">
        <v>2</v>
      </c>
      <c r="E38">
        <v>0</v>
      </c>
      <c r="F38">
        <v>21</v>
      </c>
      <c r="G38">
        <v>0</v>
      </c>
      <c r="H38" s="2">
        <f>F38/D38</f>
        <v>10.5</v>
      </c>
      <c r="I38" s="3" t="s">
        <v>103</v>
      </c>
      <c r="J38" s="3" t="s">
        <v>103</v>
      </c>
      <c r="K38" s="3" t="s">
        <v>103</v>
      </c>
    </row>
    <row r="39" spans="2:11" x14ac:dyDescent="0.25">
      <c r="B39" t="s">
        <v>98</v>
      </c>
      <c r="D39">
        <v>3</v>
      </c>
      <c r="E39">
        <v>0</v>
      </c>
      <c r="F39">
        <v>20</v>
      </c>
      <c r="G39">
        <v>0</v>
      </c>
      <c r="H39" s="2">
        <f>F39/D39</f>
        <v>6.666666666666667</v>
      </c>
      <c r="I39" s="3" t="s">
        <v>103</v>
      </c>
      <c r="J39" s="3" t="s">
        <v>103</v>
      </c>
      <c r="K39" s="3" t="s">
        <v>103</v>
      </c>
    </row>
    <row r="40" spans="2:11" x14ac:dyDescent="0.25">
      <c r="B40" t="s">
        <v>86</v>
      </c>
      <c r="C40" t="s">
        <v>91</v>
      </c>
      <c r="D40">
        <f>3+2</f>
        <v>5</v>
      </c>
      <c r="E40">
        <f>0</f>
        <v>0</v>
      </c>
      <c r="F40">
        <f>23+14</f>
        <v>37</v>
      </c>
      <c r="H40" s="2">
        <f>F40/D40</f>
        <v>7.4</v>
      </c>
      <c r="I40" s="3" t="s">
        <v>103</v>
      </c>
      <c r="J40" s="3" t="s">
        <v>103</v>
      </c>
      <c r="K40" s="3" t="s">
        <v>103</v>
      </c>
    </row>
    <row r="43" spans="2:11" x14ac:dyDescent="0.25">
      <c r="D43" t="s">
        <v>99</v>
      </c>
      <c r="E43" t="s">
        <v>100</v>
      </c>
      <c r="F43" t="s">
        <v>14</v>
      </c>
      <c r="G43" s="2" t="s">
        <v>16</v>
      </c>
      <c r="H43" t="s">
        <v>101</v>
      </c>
      <c r="I43">
        <v>50</v>
      </c>
      <c r="J43" t="s">
        <v>102</v>
      </c>
    </row>
    <row r="44" spans="2:11" x14ac:dyDescent="0.25">
      <c r="B44" t="s">
        <v>6</v>
      </c>
      <c r="C44" t="s">
        <v>7</v>
      </c>
      <c r="D44">
        <v>13</v>
      </c>
      <c r="E44">
        <v>13</v>
      </c>
      <c r="F44">
        <f>263+10</f>
        <v>273</v>
      </c>
      <c r="G44" s="2">
        <f>F44/(E44-H44)</f>
        <v>24.818181818181817</v>
      </c>
      <c r="H44" s="4">
        <v>2</v>
      </c>
      <c r="I44" s="2">
        <v>1</v>
      </c>
      <c r="J44" s="5" t="s">
        <v>123</v>
      </c>
    </row>
    <row r="45" spans="2:11" x14ac:dyDescent="0.25">
      <c r="B45" t="s">
        <v>4</v>
      </c>
      <c r="C45" t="s">
        <v>5</v>
      </c>
      <c r="D45">
        <v>7</v>
      </c>
      <c r="E45">
        <v>7</v>
      </c>
      <c r="F45">
        <f>165+9</f>
        <v>174</v>
      </c>
      <c r="G45" s="2">
        <f>F45/(E45)</f>
        <v>24.857142857142858</v>
      </c>
      <c r="H45" s="6" t="s">
        <v>103</v>
      </c>
      <c r="I45" s="2">
        <v>2</v>
      </c>
      <c r="J45">
        <v>55</v>
      </c>
    </row>
    <row r="46" spans="2:11" x14ac:dyDescent="0.25">
      <c r="B46" t="s">
        <v>25</v>
      </c>
      <c r="C46" t="s">
        <v>26</v>
      </c>
      <c r="D46">
        <v>7</v>
      </c>
      <c r="E46">
        <v>7</v>
      </c>
      <c r="F46">
        <f>165+0</f>
        <v>165</v>
      </c>
      <c r="G46" s="2">
        <f>F46/(E46)</f>
        <v>23.571428571428573</v>
      </c>
      <c r="H46" s="6" t="s">
        <v>103</v>
      </c>
      <c r="J46">
        <v>48</v>
      </c>
    </row>
    <row r="47" spans="2:11" x14ac:dyDescent="0.25">
      <c r="B47" t="s">
        <v>0</v>
      </c>
      <c r="C47" t="s">
        <v>105</v>
      </c>
      <c r="D47">
        <v>16</v>
      </c>
      <c r="E47">
        <v>15</v>
      </c>
      <c r="F47">
        <f>142+19</f>
        <v>161</v>
      </c>
      <c r="G47" s="2">
        <f>F47/(E47-H47)</f>
        <v>16.100000000000001</v>
      </c>
      <c r="H47" s="4">
        <v>5</v>
      </c>
      <c r="J47">
        <v>21</v>
      </c>
    </row>
    <row r="48" spans="2:11" x14ac:dyDescent="0.25">
      <c r="B48" t="s">
        <v>32</v>
      </c>
      <c r="C48" t="s">
        <v>33</v>
      </c>
      <c r="D48">
        <v>5</v>
      </c>
      <c r="E48">
        <v>5</v>
      </c>
      <c r="F48">
        <f>119+40</f>
        <v>159</v>
      </c>
      <c r="G48" s="2">
        <f>F48/(E48-H48)</f>
        <v>39.75</v>
      </c>
      <c r="H48" s="4">
        <v>1</v>
      </c>
      <c r="J48">
        <v>47</v>
      </c>
    </row>
    <row r="49" spans="2:10" x14ac:dyDescent="0.25">
      <c r="B49" t="s">
        <v>2</v>
      </c>
      <c r="C49" t="s">
        <v>3</v>
      </c>
      <c r="D49">
        <v>6</v>
      </c>
      <c r="E49">
        <v>6</v>
      </c>
      <c r="F49">
        <f>126+32</f>
        <v>158</v>
      </c>
      <c r="G49" s="2">
        <f>F49/(E49-H49)</f>
        <v>31.6</v>
      </c>
      <c r="H49" s="4">
        <f>1</f>
        <v>1</v>
      </c>
      <c r="I49" s="2">
        <f>1</f>
        <v>1</v>
      </c>
      <c r="J49" s="5" t="s">
        <v>104</v>
      </c>
    </row>
    <row r="50" spans="2:10" x14ac:dyDescent="0.25">
      <c r="B50" t="s">
        <v>62</v>
      </c>
      <c r="C50" t="s">
        <v>63</v>
      </c>
      <c r="D50">
        <v>8</v>
      </c>
      <c r="E50">
        <v>8</v>
      </c>
      <c r="F50">
        <f>128+12</f>
        <v>140</v>
      </c>
      <c r="G50" s="2">
        <f>F50/(E50-H50)</f>
        <v>20</v>
      </c>
      <c r="H50" s="4">
        <v>1</v>
      </c>
      <c r="J50">
        <v>31</v>
      </c>
    </row>
    <row r="51" spans="2:10" x14ac:dyDescent="0.25">
      <c r="B51" t="s">
        <v>36</v>
      </c>
      <c r="C51" t="s">
        <v>37</v>
      </c>
      <c r="D51">
        <v>12</v>
      </c>
      <c r="E51">
        <v>12</v>
      </c>
      <c r="F51">
        <f>71+32</f>
        <v>103</v>
      </c>
      <c r="G51" s="2">
        <f>F51/(E51)</f>
        <v>8.5833333333333339</v>
      </c>
      <c r="H51" s="6" t="s">
        <v>103</v>
      </c>
      <c r="J51">
        <v>32</v>
      </c>
    </row>
    <row r="52" spans="2:10" x14ac:dyDescent="0.25">
      <c r="B52" t="s">
        <v>8</v>
      </c>
      <c r="C52" t="s">
        <v>9</v>
      </c>
      <c r="D52">
        <v>9</v>
      </c>
      <c r="E52">
        <v>9</v>
      </c>
      <c r="F52">
        <f>67+26</f>
        <v>93</v>
      </c>
      <c r="G52" s="2">
        <f>F52/(E52)</f>
        <v>10.333333333333334</v>
      </c>
      <c r="H52" s="6" t="s">
        <v>103</v>
      </c>
      <c r="J52">
        <v>26</v>
      </c>
    </row>
    <row r="53" spans="2:10" x14ac:dyDescent="0.25">
      <c r="B53" t="s">
        <v>79</v>
      </c>
      <c r="C53" t="s">
        <v>5</v>
      </c>
      <c r="D53">
        <v>6</v>
      </c>
      <c r="E53">
        <v>6</v>
      </c>
      <c r="F53">
        <v>65</v>
      </c>
      <c r="G53" s="2">
        <f>F53/(E53-H53)</f>
        <v>13</v>
      </c>
      <c r="H53" s="4">
        <v>1</v>
      </c>
      <c r="J53">
        <v>16</v>
      </c>
    </row>
    <row r="54" spans="2:10" x14ac:dyDescent="0.25">
      <c r="B54" t="s">
        <v>45</v>
      </c>
      <c r="C54" t="s">
        <v>46</v>
      </c>
      <c r="D54">
        <v>10</v>
      </c>
      <c r="E54">
        <v>9</v>
      </c>
      <c r="F54">
        <f>46+9</f>
        <v>55</v>
      </c>
      <c r="G54" s="2">
        <f>F54/(E54-H54)</f>
        <v>6.1111111111111107</v>
      </c>
      <c r="H54" s="4"/>
      <c r="J54">
        <v>22</v>
      </c>
    </row>
    <row r="55" spans="2:10" x14ac:dyDescent="0.25">
      <c r="B55" t="s">
        <v>57</v>
      </c>
      <c r="C55" t="s">
        <v>33</v>
      </c>
      <c r="D55">
        <v>3</v>
      </c>
      <c r="E55">
        <v>3</v>
      </c>
      <c r="F55">
        <f>29+24</f>
        <v>53</v>
      </c>
      <c r="G55" s="2">
        <f>F55/(E55-H55)</f>
        <v>17.666666666666668</v>
      </c>
      <c r="H55" s="4"/>
      <c r="J55">
        <v>24</v>
      </c>
    </row>
    <row r="56" spans="2:10" x14ac:dyDescent="0.25">
      <c r="B56" t="s">
        <v>4</v>
      </c>
      <c r="C56" t="s">
        <v>50</v>
      </c>
      <c r="D56">
        <v>4</v>
      </c>
      <c r="E56">
        <v>4</v>
      </c>
      <c r="F56">
        <f>38+10</f>
        <v>48</v>
      </c>
      <c r="G56" s="2">
        <f>F56/(E56-H56)</f>
        <v>16</v>
      </c>
      <c r="H56" s="4">
        <v>1</v>
      </c>
      <c r="J56">
        <v>26</v>
      </c>
    </row>
    <row r="57" spans="2:10" x14ac:dyDescent="0.25">
      <c r="B57" t="s">
        <v>88</v>
      </c>
      <c r="C57" t="s">
        <v>89</v>
      </c>
      <c r="D57">
        <v>12</v>
      </c>
      <c r="E57">
        <v>8</v>
      </c>
      <c r="F57">
        <f>15+28</f>
        <v>43</v>
      </c>
      <c r="G57" s="2">
        <f>F57/(E57-H57)</f>
        <v>10.75</v>
      </c>
      <c r="H57" s="4">
        <v>4</v>
      </c>
      <c r="J57">
        <v>28</v>
      </c>
    </row>
    <row r="58" spans="2:10" x14ac:dyDescent="0.25">
      <c r="B58" t="s">
        <v>108</v>
      </c>
      <c r="C58" t="s">
        <v>22</v>
      </c>
      <c r="D58">
        <v>3</v>
      </c>
      <c r="E58">
        <v>3</v>
      </c>
      <c r="F58">
        <f>35+7</f>
        <v>42</v>
      </c>
      <c r="G58" s="2">
        <f>F58/(E58-H58)</f>
        <v>21</v>
      </c>
      <c r="H58" s="4">
        <v>1</v>
      </c>
      <c r="J58">
        <v>30</v>
      </c>
    </row>
    <row r="59" spans="2:10" x14ac:dyDescent="0.25">
      <c r="B59" t="s">
        <v>64</v>
      </c>
      <c r="C59" t="s">
        <v>65</v>
      </c>
      <c r="D59">
        <v>4</v>
      </c>
      <c r="E59">
        <v>3</v>
      </c>
      <c r="F59">
        <f>13+19</f>
        <v>32</v>
      </c>
      <c r="G59" s="2">
        <f>F59/(E59-H59)</f>
        <v>10.666666666666666</v>
      </c>
      <c r="H59" s="4"/>
      <c r="J59">
        <v>19</v>
      </c>
    </row>
    <row r="60" spans="2:10" x14ac:dyDescent="0.25">
      <c r="B60" t="s">
        <v>110</v>
      </c>
      <c r="C60" t="s">
        <v>31</v>
      </c>
      <c r="D60">
        <v>6</v>
      </c>
      <c r="E60">
        <v>6</v>
      </c>
      <c r="F60">
        <f>31+0</f>
        <v>31</v>
      </c>
      <c r="G60" s="2">
        <f>F60/(E60-H60)</f>
        <v>5.166666666666667</v>
      </c>
      <c r="H60" s="4"/>
      <c r="J60">
        <v>16</v>
      </c>
    </row>
    <row r="61" spans="2:10" x14ac:dyDescent="0.25">
      <c r="B61" t="s">
        <v>10</v>
      </c>
      <c r="C61" t="s">
        <v>11</v>
      </c>
      <c r="D61">
        <v>7</v>
      </c>
      <c r="E61">
        <v>5</v>
      </c>
      <c r="F61">
        <f>23+5</f>
        <v>28</v>
      </c>
      <c r="G61" s="2">
        <f>F61/(E61-H61)</f>
        <v>7</v>
      </c>
      <c r="H61" s="4">
        <v>1</v>
      </c>
      <c r="J61" s="5" t="s">
        <v>116</v>
      </c>
    </row>
    <row r="62" spans="2:10" x14ac:dyDescent="0.25">
      <c r="B62" t="s">
        <v>107</v>
      </c>
      <c r="C62" t="s">
        <v>23</v>
      </c>
      <c r="D62">
        <v>6</v>
      </c>
      <c r="E62">
        <v>4</v>
      </c>
      <c r="F62">
        <v>24</v>
      </c>
      <c r="G62" s="2">
        <f>F62/(E62-H62)</f>
        <v>8</v>
      </c>
      <c r="H62" s="4">
        <v>1</v>
      </c>
      <c r="J62" s="5" t="s">
        <v>125</v>
      </c>
    </row>
    <row r="63" spans="2:10" x14ac:dyDescent="0.25">
      <c r="B63" t="s">
        <v>52</v>
      </c>
      <c r="C63" t="s">
        <v>53</v>
      </c>
      <c r="D63">
        <v>1</v>
      </c>
      <c r="E63">
        <v>1</v>
      </c>
      <c r="F63">
        <v>24</v>
      </c>
      <c r="G63" s="2">
        <f>F63/(E63-H63)</f>
        <v>24</v>
      </c>
      <c r="H63" s="4"/>
      <c r="J63">
        <v>24</v>
      </c>
    </row>
    <row r="64" spans="2:10" x14ac:dyDescent="0.25">
      <c r="B64" t="s">
        <v>28</v>
      </c>
      <c r="C64" t="s">
        <v>11</v>
      </c>
      <c r="D64">
        <v>4</v>
      </c>
      <c r="E64">
        <v>3</v>
      </c>
      <c r="F64">
        <f>15+4</f>
        <v>19</v>
      </c>
      <c r="G64" s="2">
        <f>F64/(E64-H64)</f>
        <v>6.333333333333333</v>
      </c>
      <c r="H64" s="4"/>
      <c r="J64">
        <v>13</v>
      </c>
    </row>
    <row r="65" spans="2:10" x14ac:dyDescent="0.25">
      <c r="B65" t="s">
        <v>66</v>
      </c>
      <c r="C65" t="s">
        <v>67</v>
      </c>
      <c r="D65">
        <v>1</v>
      </c>
      <c r="E65">
        <v>1</v>
      </c>
      <c r="F65">
        <v>19</v>
      </c>
      <c r="G65" s="2">
        <f>F65/(E65-H65)</f>
        <v>19</v>
      </c>
      <c r="H65" s="4"/>
      <c r="J65">
        <v>49</v>
      </c>
    </row>
    <row r="66" spans="2:10" x14ac:dyDescent="0.25">
      <c r="B66" t="s">
        <v>43</v>
      </c>
      <c r="C66" t="s">
        <v>44</v>
      </c>
      <c r="D66">
        <v>9</v>
      </c>
      <c r="E66">
        <v>5</v>
      </c>
      <c r="F66">
        <f>12+5</f>
        <v>17</v>
      </c>
      <c r="G66" s="2">
        <f>F66/(E66-H66)</f>
        <v>4.25</v>
      </c>
      <c r="H66" s="4">
        <v>1</v>
      </c>
      <c r="J66">
        <v>8</v>
      </c>
    </row>
    <row r="67" spans="2:10" x14ac:dyDescent="0.25">
      <c r="B67" t="s">
        <v>57</v>
      </c>
      <c r="C67" t="s">
        <v>61</v>
      </c>
      <c r="D67">
        <v>2</v>
      </c>
      <c r="E67">
        <v>2</v>
      </c>
      <c r="F67">
        <f>17+0</f>
        <v>17</v>
      </c>
      <c r="G67" s="2">
        <f>F67/(E67-H67)</f>
        <v>17</v>
      </c>
      <c r="H67" s="4">
        <v>1</v>
      </c>
      <c r="J67" s="5" t="s">
        <v>119</v>
      </c>
    </row>
    <row r="68" spans="2:10" x14ac:dyDescent="0.25">
      <c r="B68" t="s">
        <v>92</v>
      </c>
      <c r="C68" t="s">
        <v>93</v>
      </c>
      <c r="D68">
        <v>3</v>
      </c>
      <c r="E68">
        <v>3</v>
      </c>
      <c r="F68">
        <f>9+7</f>
        <v>16</v>
      </c>
      <c r="G68" s="2">
        <f>F68/(E68-H68)</f>
        <v>5.333333333333333</v>
      </c>
      <c r="H68" s="4"/>
      <c r="J68">
        <v>77</v>
      </c>
    </row>
    <row r="69" spans="2:10" x14ac:dyDescent="0.25">
      <c r="B69" t="s">
        <v>111</v>
      </c>
      <c r="C69" t="s">
        <v>22</v>
      </c>
      <c r="D69">
        <v>3</v>
      </c>
      <c r="E69">
        <v>3</v>
      </c>
      <c r="F69">
        <f>14+1</f>
        <v>15</v>
      </c>
      <c r="G69" s="2">
        <f>F69/(E69-H69)</f>
        <v>7.5</v>
      </c>
      <c r="H69" s="4">
        <v>1</v>
      </c>
      <c r="J69" s="5" t="s">
        <v>112</v>
      </c>
    </row>
    <row r="70" spans="2:10" x14ac:dyDescent="0.25">
      <c r="B70" t="s">
        <v>120</v>
      </c>
      <c r="C70" t="s">
        <v>121</v>
      </c>
      <c r="D70">
        <v>1</v>
      </c>
      <c r="E70">
        <v>1</v>
      </c>
      <c r="F70">
        <v>15</v>
      </c>
      <c r="G70" s="2">
        <f>F70/(E70-H70)</f>
        <v>15</v>
      </c>
      <c r="H70" s="4"/>
      <c r="J70">
        <v>15</v>
      </c>
    </row>
    <row r="71" spans="2:10" x14ac:dyDescent="0.25">
      <c r="B71" t="s">
        <v>109</v>
      </c>
      <c r="C71" t="s">
        <v>23</v>
      </c>
      <c r="D71">
        <v>8</v>
      </c>
      <c r="E71">
        <v>6</v>
      </c>
      <c r="F71">
        <v>13</v>
      </c>
      <c r="G71" s="2">
        <f>F71/(E71-H71)</f>
        <v>2.1666666666666665</v>
      </c>
      <c r="H71" s="4"/>
      <c r="J71">
        <v>11</v>
      </c>
    </row>
    <row r="72" spans="2:10" x14ac:dyDescent="0.25">
      <c r="B72" t="s">
        <v>118</v>
      </c>
      <c r="C72" t="s">
        <v>31</v>
      </c>
      <c r="D72">
        <v>2</v>
      </c>
      <c r="E72">
        <v>2</v>
      </c>
      <c r="F72">
        <f>8+5</f>
        <v>13</v>
      </c>
      <c r="G72" s="2">
        <f>F72/(E72-H72)</f>
        <v>6.5</v>
      </c>
      <c r="H72" s="4"/>
      <c r="J72">
        <v>8</v>
      </c>
    </row>
    <row r="73" spans="2:10" x14ac:dyDescent="0.25">
      <c r="B73" t="s">
        <v>73</v>
      </c>
      <c r="C73" t="s">
        <v>124</v>
      </c>
      <c r="D73">
        <v>1</v>
      </c>
      <c r="E73">
        <v>1</v>
      </c>
      <c r="F73">
        <v>13</v>
      </c>
      <c r="G73" s="2">
        <f>F73/(E73-H73)</f>
        <v>13</v>
      </c>
      <c r="H73" s="4"/>
      <c r="J73">
        <v>13</v>
      </c>
    </row>
    <row r="74" spans="2:10" x14ac:dyDescent="0.25">
      <c r="B74" t="s">
        <v>76</v>
      </c>
      <c r="C74" t="s">
        <v>77</v>
      </c>
      <c r="D74">
        <v>1</v>
      </c>
      <c r="E74">
        <v>1</v>
      </c>
      <c r="F74">
        <v>12</v>
      </c>
      <c r="G74" s="2">
        <v>12</v>
      </c>
      <c r="H74" s="4">
        <v>1</v>
      </c>
      <c r="J74" s="5" t="s">
        <v>128</v>
      </c>
    </row>
    <row r="75" spans="2:10" x14ac:dyDescent="0.25">
      <c r="B75" t="s">
        <v>60</v>
      </c>
      <c r="C75" t="s">
        <v>85</v>
      </c>
      <c r="D75">
        <v>2</v>
      </c>
      <c r="E75">
        <v>2</v>
      </c>
      <c r="F75">
        <v>11</v>
      </c>
      <c r="G75" s="2">
        <f>F75/(E75-H75)</f>
        <v>11</v>
      </c>
      <c r="H75" s="4">
        <v>1</v>
      </c>
      <c r="J75" s="5" t="s">
        <v>114</v>
      </c>
    </row>
    <row r="76" spans="2:10" x14ac:dyDescent="0.25">
      <c r="B76" t="s">
        <v>111</v>
      </c>
      <c r="C76" t="s">
        <v>117</v>
      </c>
      <c r="D76">
        <v>1</v>
      </c>
      <c r="E76">
        <v>1</v>
      </c>
      <c r="F76">
        <v>10</v>
      </c>
      <c r="G76" s="2">
        <f>F76/(E76-H76)</f>
        <v>10</v>
      </c>
      <c r="H76" s="4"/>
      <c r="J76">
        <v>10</v>
      </c>
    </row>
    <row r="77" spans="2:10" x14ac:dyDescent="0.25">
      <c r="B77" t="s">
        <v>126</v>
      </c>
      <c r="C77" t="s">
        <v>127</v>
      </c>
      <c r="D77">
        <v>1</v>
      </c>
      <c r="E77">
        <v>1</v>
      </c>
      <c r="F77">
        <v>9</v>
      </c>
      <c r="G77" s="2">
        <f>F77/(E77-H77)</f>
        <v>9</v>
      </c>
      <c r="H77" s="4"/>
      <c r="J77">
        <v>9</v>
      </c>
    </row>
    <row r="78" spans="2:10" x14ac:dyDescent="0.25">
      <c r="B78" t="s">
        <v>81</v>
      </c>
      <c r="C78" t="s">
        <v>82</v>
      </c>
      <c r="D78">
        <v>1</v>
      </c>
      <c r="E78">
        <v>1</v>
      </c>
      <c r="F78">
        <v>9</v>
      </c>
      <c r="G78" s="2">
        <f>F78/(E78-H78)</f>
        <v>9</v>
      </c>
      <c r="H78" s="4"/>
      <c r="J78">
        <v>9</v>
      </c>
    </row>
    <row r="79" spans="2:10" x14ac:dyDescent="0.25">
      <c r="B79" t="s">
        <v>98</v>
      </c>
      <c r="D79">
        <v>1</v>
      </c>
      <c r="E79">
        <v>1</v>
      </c>
      <c r="F79">
        <v>8</v>
      </c>
      <c r="G79" s="2">
        <f>F79/(E79-H79)</f>
        <v>8</v>
      </c>
      <c r="H79" s="4"/>
      <c r="J79">
        <v>8</v>
      </c>
    </row>
    <row r="80" spans="2:10" x14ac:dyDescent="0.25">
      <c r="B80" t="s">
        <v>86</v>
      </c>
      <c r="C80" t="s">
        <v>91</v>
      </c>
      <c r="D80">
        <v>1</v>
      </c>
      <c r="E80">
        <v>1</v>
      </c>
      <c r="F80">
        <v>6</v>
      </c>
      <c r="G80" s="2">
        <f>F80/(E80-H80)</f>
        <v>6</v>
      </c>
      <c r="H80" s="4"/>
      <c r="J80">
        <v>6</v>
      </c>
    </row>
    <row r="81" spans="2:10" x14ac:dyDescent="0.25">
      <c r="B81" t="s">
        <v>60</v>
      </c>
      <c r="C81" t="s">
        <v>11</v>
      </c>
      <c r="D81">
        <v>2</v>
      </c>
      <c r="E81">
        <v>2</v>
      </c>
      <c r="F81">
        <v>5</v>
      </c>
      <c r="G81" s="2">
        <f>F81/(E81-H81)</f>
        <v>2.5</v>
      </c>
      <c r="H81" s="4"/>
      <c r="J81">
        <v>3</v>
      </c>
    </row>
    <row r="82" spans="2:10" x14ac:dyDescent="0.25">
      <c r="B82" t="s">
        <v>42</v>
      </c>
      <c r="C82" t="s">
        <v>1</v>
      </c>
      <c r="D82">
        <v>1</v>
      </c>
      <c r="E82">
        <v>1</v>
      </c>
      <c r="F82">
        <v>4</v>
      </c>
      <c r="G82" s="2">
        <f>F82/(E82-H82)</f>
        <v>4</v>
      </c>
      <c r="H82" s="4"/>
      <c r="J82">
        <v>4</v>
      </c>
    </row>
    <row r="83" spans="2:10" x14ac:dyDescent="0.25">
      <c r="B83" t="s">
        <v>28</v>
      </c>
      <c r="C83" t="s">
        <v>113</v>
      </c>
      <c r="D83">
        <v>2</v>
      </c>
      <c r="E83">
        <v>2</v>
      </c>
      <c r="F83">
        <v>4</v>
      </c>
      <c r="G83" s="2">
        <f>F83/(E83-H83)</f>
        <v>2</v>
      </c>
      <c r="H83" s="4"/>
      <c r="J83">
        <v>4</v>
      </c>
    </row>
    <row r="84" spans="2:10" x14ac:dyDescent="0.25">
      <c r="B84" t="s">
        <v>106</v>
      </c>
      <c r="D84">
        <v>2</v>
      </c>
      <c r="E84">
        <v>2</v>
      </c>
      <c r="F84">
        <v>3</v>
      </c>
      <c r="G84" s="2">
        <f>F84/(E84-H84)</f>
        <v>3</v>
      </c>
      <c r="H84" s="4">
        <v>1</v>
      </c>
      <c r="J84">
        <v>3</v>
      </c>
    </row>
    <row r="85" spans="2:10" x14ac:dyDescent="0.25">
      <c r="B85" t="s">
        <v>39</v>
      </c>
      <c r="C85" t="s">
        <v>40</v>
      </c>
      <c r="D85">
        <v>5</v>
      </c>
      <c r="E85">
        <v>5</v>
      </c>
      <c r="F85">
        <f>2+1</f>
        <v>3</v>
      </c>
      <c r="G85" s="2">
        <f>F85/(E85-H85)</f>
        <v>0.75</v>
      </c>
      <c r="H85" s="4">
        <v>1</v>
      </c>
      <c r="J85" s="5" t="s">
        <v>122</v>
      </c>
    </row>
    <row r="86" spans="2:10" x14ac:dyDescent="0.25">
      <c r="B86" t="s">
        <v>10</v>
      </c>
      <c r="C86" t="s">
        <v>84</v>
      </c>
      <c r="D86">
        <v>3</v>
      </c>
      <c r="E86">
        <v>2</v>
      </c>
      <c r="F86">
        <v>2</v>
      </c>
      <c r="G86" s="2">
        <f>F86/(E86-H86)</f>
        <v>1</v>
      </c>
      <c r="H86" s="4"/>
      <c r="J86">
        <v>2</v>
      </c>
    </row>
    <row r="87" spans="2:10" x14ac:dyDescent="0.25">
      <c r="B87" t="s">
        <v>28</v>
      </c>
      <c r="C87" t="s">
        <v>115</v>
      </c>
      <c r="D87">
        <v>1</v>
      </c>
      <c r="E87">
        <v>1</v>
      </c>
      <c r="F87">
        <v>1</v>
      </c>
      <c r="G87" s="2">
        <f>F87/(E87-H87)</f>
        <v>1</v>
      </c>
      <c r="H87" s="4"/>
      <c r="J87">
        <v>1</v>
      </c>
    </row>
    <row r="88" spans="2:10" x14ac:dyDescent="0.25">
      <c r="B88" t="s">
        <v>107</v>
      </c>
      <c r="C88" t="s">
        <v>54</v>
      </c>
      <c r="D88">
        <v>1</v>
      </c>
      <c r="E88">
        <v>1</v>
      </c>
      <c r="F88">
        <v>0</v>
      </c>
      <c r="G88" s="2">
        <f>F88/(E88-H88)</f>
        <v>0</v>
      </c>
      <c r="H88" s="4"/>
    </row>
    <row r="89" spans="2:10" x14ac:dyDescent="0.25">
      <c r="B89" t="s">
        <v>92</v>
      </c>
      <c r="C89" t="s">
        <v>82</v>
      </c>
      <c r="D89">
        <v>1</v>
      </c>
      <c r="E89">
        <v>1</v>
      </c>
      <c r="F89">
        <v>0</v>
      </c>
      <c r="G89" s="2">
        <v>0</v>
      </c>
      <c r="H89" s="4">
        <v>1</v>
      </c>
    </row>
  </sheetData>
  <sortState ref="B43:J89">
    <sortCondition descending="1" ref="F44"/>
  </sortState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dcterms:created xsi:type="dcterms:W3CDTF">2014-11-14T18:48:21Z</dcterms:created>
  <dcterms:modified xsi:type="dcterms:W3CDTF">2014-11-27T17:16:24Z</dcterms:modified>
</cp:coreProperties>
</file>